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65251" yWindow="45" windowWidth="15450" windowHeight="958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'Sheet1'!$B$1:$N$37</definedName>
    <definedName name="_xlnm.Print_Area" localSheetId="2">'Sheet1'!$B$49:$H$62</definedName>
  </definedNames>
  <calcPr fullCalcOnLoad="1"/>
</workbook>
</file>

<file path=xl/sharedStrings.xml><?xml version="1.0" encoding="utf-8"?>
<sst xmlns="http://schemas.openxmlformats.org/spreadsheetml/2006/main" count="79" uniqueCount="54">
  <si>
    <t xml:space="preserve"> </t>
  </si>
  <si>
    <t>minutes</t>
  </si>
  <si>
    <t>Natural Vitamin D IU</t>
  </si>
  <si>
    <t>Vit D IU</t>
  </si>
  <si>
    <t>=&gt;</t>
  </si>
  <si>
    <r>
      <t>mW/m</t>
    </r>
    <r>
      <rPr>
        <b/>
        <vertAlign val="superscript"/>
        <sz val="10"/>
        <rFont val="Arial"/>
        <family val="2"/>
      </rPr>
      <t xml:space="preserve">2 </t>
    </r>
    <r>
      <rPr>
        <b/>
        <sz val="10"/>
        <rFont val="Arial"/>
        <family val="2"/>
      </rPr>
      <t>Eeff</t>
    </r>
  </si>
  <si>
    <t xml:space="preserve">                 Model 6.4 Solarmeter® utility: IU / minute vitamin D3 </t>
  </si>
  <si>
    <t xml:space="preserve">Model 6.4 Solarmeter® reading </t>
  </si>
  <si>
    <t>Calculated dose amount:</t>
  </si>
  <si>
    <t>Equivalent UV dose rates:</t>
  </si>
  <si>
    <r>
      <t>W/m</t>
    </r>
    <r>
      <rPr>
        <b/>
        <vertAlign val="superscript"/>
        <sz val="10"/>
        <rFont val="Arial"/>
        <family val="2"/>
      </rPr>
      <t xml:space="preserve">2 </t>
    </r>
    <r>
      <rPr>
        <b/>
        <sz val="10"/>
        <rFont val="Arial"/>
        <family val="2"/>
      </rPr>
      <t>Eeff (CIE TC-6-02)</t>
    </r>
  </si>
  <si>
    <t>Parameter 1:</t>
  </si>
  <si>
    <t>Parameter 2:</t>
  </si>
  <si>
    <t>Parameter 3:</t>
  </si>
  <si>
    <r>
      <t>©</t>
    </r>
    <r>
      <rPr>
        <sz val="6.5"/>
        <rFont val="Arial"/>
        <family val="2"/>
      </rPr>
      <t xml:space="preserve"> Sun Systems &amp; Service, Inc.</t>
    </r>
  </si>
  <si>
    <t>Parameter 4:</t>
  </si>
  <si>
    <t>NOTES:</t>
  </si>
  <si>
    <t>Parameter 5:</t>
  </si>
  <si>
    <t>Parameter 6:</t>
  </si>
  <si>
    <t>Parameter 7:</t>
  </si>
  <si>
    <t>Age</t>
  </si>
  <si>
    <r>
      <t>calculated minutes to 1000 IU</t>
    </r>
    <r>
      <rPr>
        <b/>
        <vertAlign val="superscript"/>
        <sz val="10"/>
        <color indexed="8"/>
        <rFont val="Arial"/>
        <family val="2"/>
      </rPr>
      <t>1</t>
    </r>
  </si>
  <si>
    <r>
      <t xml:space="preserve">     </t>
    </r>
    <r>
      <rPr>
        <b/>
        <u val="single"/>
        <sz val="10"/>
        <rFont val="Arial"/>
        <family val="2"/>
      </rPr>
      <t>Hypothetical dose duration</t>
    </r>
    <r>
      <rPr>
        <b/>
        <u val="single"/>
        <vertAlign val="superscript"/>
        <sz val="10"/>
        <rFont val="Arial"/>
        <family val="2"/>
      </rPr>
      <t>2</t>
    </r>
  </si>
  <si>
    <r>
      <t>% Body area exposed</t>
    </r>
    <r>
      <rPr>
        <b/>
        <u val="single"/>
        <vertAlign val="superscript"/>
        <sz val="10"/>
        <rFont val="Arial"/>
        <family val="2"/>
      </rPr>
      <t>3</t>
    </r>
  </si>
  <si>
    <r>
      <t xml:space="preserve">  </t>
    </r>
    <r>
      <rPr>
        <b/>
        <u val="single"/>
        <sz val="10"/>
        <rFont val="Arial"/>
        <family val="2"/>
      </rPr>
      <t>Topical SPF applied</t>
    </r>
    <r>
      <rPr>
        <b/>
        <u val="single"/>
        <vertAlign val="superscript"/>
        <sz val="10"/>
        <rFont val="Arial"/>
        <family val="2"/>
      </rPr>
      <t>4</t>
    </r>
  </si>
  <si>
    <t>Dose result:</t>
  </si>
  <si>
    <r>
      <t>MED (adjusted for skin type)</t>
    </r>
    <r>
      <rPr>
        <b/>
        <vertAlign val="superscript"/>
        <sz val="10"/>
        <color indexed="20"/>
        <rFont val="Arial"/>
        <family val="2"/>
      </rPr>
      <t>6</t>
    </r>
  </si>
  <si>
    <t>UVI (EPA,WMO)</t>
  </si>
  <si>
    <r>
      <t xml:space="preserve"> </t>
    </r>
    <r>
      <rPr>
        <b/>
        <u val="single"/>
        <sz val="10"/>
        <rFont val="Arial"/>
        <family val="2"/>
      </rPr>
      <t>Skin type (Fitzpatrick)</t>
    </r>
  </si>
  <si>
    <r>
      <t xml:space="preserve">   </t>
    </r>
    <r>
      <rPr>
        <b/>
        <sz val="10"/>
        <color indexed="8"/>
        <rFont val="Arial"/>
        <family val="2"/>
      </rPr>
      <t xml:space="preserve">   </t>
    </r>
    <r>
      <rPr>
        <b/>
        <u val="single"/>
        <sz val="10"/>
        <color indexed="8"/>
        <rFont val="Arial"/>
        <family val="2"/>
      </rPr>
      <t>Facultative tan %</t>
    </r>
    <r>
      <rPr>
        <b/>
        <u val="single"/>
        <vertAlign val="superscript"/>
        <sz val="10"/>
        <color indexed="8"/>
        <rFont val="Arial"/>
        <family val="2"/>
      </rPr>
      <t>5</t>
    </r>
  </si>
  <si>
    <r>
      <t>J/m</t>
    </r>
    <r>
      <rPr>
        <b/>
        <vertAlign val="superscript"/>
        <sz val="10"/>
        <color indexed="20"/>
        <rFont val="Arial"/>
        <family val="2"/>
      </rPr>
      <t>2</t>
    </r>
    <r>
      <rPr>
        <b/>
        <sz val="10"/>
        <color indexed="20"/>
        <rFont val="Arial"/>
        <family val="2"/>
      </rPr>
      <t xml:space="preserve"> Eeff (CIE)</t>
    </r>
  </si>
  <si>
    <r>
      <t>MED/hr (CIE; 200J/m</t>
    </r>
    <r>
      <rPr>
        <b/>
        <vertAlign val="superscript"/>
        <sz val="10"/>
        <color indexed="8"/>
        <rFont val="Arial"/>
        <family val="2"/>
      </rPr>
      <t>2</t>
    </r>
    <r>
      <rPr>
        <b/>
        <sz val="10"/>
        <color indexed="8"/>
        <rFont val="Arial"/>
        <family val="2"/>
      </rPr>
      <t>)</t>
    </r>
  </si>
  <si>
    <r>
      <t>SED/hr (CIE; 100J/m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)</t>
    </r>
  </si>
  <si>
    <r>
      <t>MED/hr (WMO,CIE; 210J/m</t>
    </r>
    <r>
      <rPr>
        <b/>
        <vertAlign val="superscript"/>
        <sz val="10"/>
        <color indexed="8"/>
        <rFont val="Arial"/>
        <family val="2"/>
      </rPr>
      <t>2</t>
    </r>
    <r>
      <rPr>
        <b/>
        <sz val="10"/>
        <color indexed="8"/>
        <rFont val="Arial"/>
        <family val="2"/>
      </rPr>
      <t>)</t>
    </r>
  </si>
  <si>
    <r>
      <t>1.</t>
    </r>
    <r>
      <rPr>
        <vertAlign val="superscript"/>
        <sz val="10"/>
        <rFont val="Arial"/>
        <family val="2"/>
      </rPr>
      <t xml:space="preserve"> </t>
    </r>
    <r>
      <rPr>
        <sz val="10"/>
        <rFont val="Arial"/>
        <family val="2"/>
      </rPr>
      <t>Based on: Type 2 skin, 10% body area exposure, no facultative pigmentation, baseline age of 20 years old.</t>
    </r>
    <r>
      <rPr>
        <vertAlign val="superscript"/>
        <sz val="10"/>
        <rFont val="Arial"/>
        <family val="2"/>
      </rPr>
      <t>(9,11,25,26)</t>
    </r>
  </si>
  <si>
    <t>2. Do not exceed FDA or CIE guidelines (4 MEDs for fully tanned skin only).</t>
  </si>
  <si>
    <r>
      <t>3. Based on average (typical) human body size.</t>
    </r>
    <r>
      <rPr>
        <vertAlign val="superscript"/>
        <sz val="10"/>
        <rFont val="Arial"/>
        <family val="2"/>
      </rPr>
      <t>(25,26)</t>
    </r>
  </si>
  <si>
    <t xml:space="preserve">4. Relevant typically only for outdoor exposure - assumes actual effective SPF (which is often 1/2 applied SPF). </t>
  </si>
  <si>
    <t>5. Measure of your tan as a % of as dark as you can get.</t>
  </si>
  <si>
    <t>6. All MED amounts are standardized quantities for skin types with no previous UV exposure.</t>
  </si>
  <si>
    <t>Hypothetical dose duration</t>
  </si>
  <si>
    <t xml:space="preserve">Skin type </t>
  </si>
  <si>
    <t>% Body area exposed</t>
  </si>
  <si>
    <t>Topical SPF applied</t>
  </si>
  <si>
    <t>Facultative tan %</t>
  </si>
  <si>
    <t>value</t>
  </si>
  <si>
    <t>================</t>
  </si>
  <si>
    <t>Vitamin D IU</t>
  </si>
  <si>
    <t>IU/min</t>
  </si>
  <si>
    <t>%</t>
  </si>
  <si>
    <t>SPF</t>
  </si>
  <si>
    <t>years old</t>
  </si>
  <si>
    <t>Dose result  =</t>
  </si>
  <si>
    <t>seconds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</si>
</sst>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000"/>
    <numFmt numFmtId="166" formatCode="0.0000"/>
    <numFmt numFmtId="167" formatCode="0.00000"/>
    <numFmt numFmtId="168" formatCode="0.000"/>
    <numFmt numFmtId="169" formatCode="0.0000000"/>
    <numFmt numFmtId="170" formatCode="0.000E+00"/>
    <numFmt numFmtId="171" formatCode="0.E+00"/>
    <numFmt numFmtId="172" formatCode="[$-409]h:mm:ss\ AM/PM"/>
    <numFmt numFmtId="173" formatCode="h:mm;@"/>
  </numFmts>
  <fonts count="32">
    <font>
      <sz val="10"/>
      <name val="Arial"/>
      <family val="0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b/>
      <sz val="16"/>
      <name val="Arial"/>
      <family val="2"/>
    </font>
    <font>
      <sz val="10"/>
      <color indexed="47"/>
      <name val="Arial"/>
      <family val="2"/>
    </font>
    <font>
      <b/>
      <sz val="10"/>
      <color indexed="8"/>
      <name val="Arial"/>
      <family val="2"/>
    </font>
    <font>
      <b/>
      <sz val="14"/>
      <name val="Arial"/>
      <family val="2"/>
    </font>
    <font>
      <b/>
      <u val="single"/>
      <sz val="10"/>
      <name val="Arial"/>
      <family val="2"/>
    </font>
    <font>
      <sz val="8"/>
      <name val="Arial"/>
      <family val="0"/>
    </font>
    <font>
      <sz val="6.5"/>
      <name val="Arial"/>
      <family val="2"/>
    </font>
    <font>
      <sz val="9"/>
      <name val="Arial"/>
      <family val="2"/>
    </font>
    <font>
      <b/>
      <u val="single"/>
      <vertAlign val="superscript"/>
      <sz val="10"/>
      <name val="Arial"/>
      <family val="2"/>
    </font>
    <font>
      <vertAlign val="superscript"/>
      <sz val="10"/>
      <name val="Arial"/>
      <family val="2"/>
    </font>
    <font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b/>
      <u val="single"/>
      <vertAlign val="superscript"/>
      <sz val="10"/>
      <color indexed="8"/>
      <name val="Arial"/>
      <family val="2"/>
    </font>
    <font>
      <b/>
      <vertAlign val="superscript"/>
      <sz val="10"/>
      <color indexed="8"/>
      <name val="Arial"/>
      <family val="2"/>
    </font>
    <font>
      <b/>
      <sz val="14"/>
      <color indexed="20"/>
      <name val="Arial"/>
      <family val="2"/>
    </font>
    <font>
      <sz val="10"/>
      <color indexed="43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u val="single"/>
      <sz val="10"/>
      <color indexed="20"/>
      <name val="Arial"/>
      <family val="2"/>
    </font>
    <font>
      <b/>
      <vertAlign val="superscript"/>
      <sz val="10"/>
      <color indexed="20"/>
      <name val="Arial"/>
      <family val="2"/>
    </font>
    <font>
      <b/>
      <sz val="9.75"/>
      <color indexed="20"/>
      <name val="Arial"/>
      <family val="2"/>
    </font>
    <font>
      <b/>
      <sz val="8"/>
      <name val="Arial"/>
      <family val="0"/>
    </font>
    <font>
      <sz val="10"/>
      <color indexed="12"/>
      <name val="Arial"/>
      <family val="2"/>
    </font>
    <font>
      <b/>
      <u val="single"/>
      <sz val="10"/>
      <color indexed="47"/>
      <name val="Arial"/>
      <family val="2"/>
    </font>
    <font>
      <b/>
      <sz val="10"/>
      <color indexed="47"/>
      <name val="Arial"/>
      <family val="2"/>
    </font>
    <font>
      <b/>
      <i/>
      <sz val="9"/>
      <color indexed="20"/>
      <name val="Arial"/>
      <family val="2"/>
    </font>
    <font>
      <b/>
      <i/>
      <sz val="9"/>
      <name val="Bookman Old Style"/>
      <family val="1"/>
    </font>
    <font>
      <b/>
      <i/>
      <sz val="9"/>
      <name val="Arial"/>
      <family val="2"/>
    </font>
    <font>
      <i/>
      <sz val="10"/>
      <name val="Arial Baltic"/>
      <family val="2"/>
    </font>
  </fonts>
  <fills count="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medium">
        <color indexed="20"/>
      </top>
      <bottom>
        <color indexed="63"/>
      </bottom>
    </border>
    <border>
      <left style="medium">
        <color indexed="20"/>
      </left>
      <right>
        <color indexed="63"/>
      </right>
      <top style="medium">
        <color indexed="20"/>
      </top>
      <bottom>
        <color indexed="63"/>
      </bottom>
    </border>
    <border>
      <left>
        <color indexed="63"/>
      </left>
      <right style="medium">
        <color indexed="20"/>
      </right>
      <top style="medium">
        <color indexed="20"/>
      </top>
      <bottom>
        <color indexed="63"/>
      </bottom>
    </border>
    <border>
      <left style="medium">
        <color indexed="2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20"/>
      </right>
      <top>
        <color indexed="63"/>
      </top>
      <bottom>
        <color indexed="63"/>
      </bottom>
    </border>
    <border>
      <left style="medium">
        <color indexed="20"/>
      </left>
      <right>
        <color indexed="63"/>
      </right>
      <top>
        <color indexed="63"/>
      </top>
      <bottom style="medium">
        <color indexed="20"/>
      </bottom>
    </border>
    <border>
      <left>
        <color indexed="63"/>
      </left>
      <right>
        <color indexed="63"/>
      </right>
      <top>
        <color indexed="63"/>
      </top>
      <bottom style="medium">
        <color indexed="20"/>
      </bottom>
    </border>
    <border>
      <left>
        <color indexed="63"/>
      </left>
      <right style="medium">
        <color indexed="20"/>
      </right>
      <top>
        <color indexed="63"/>
      </top>
      <bottom style="medium">
        <color indexed="20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7">
    <xf numFmtId="0" fontId="0" fillId="0" borderId="0" xfId="0" applyAlignment="1">
      <alignment/>
    </xf>
    <xf numFmtId="0" fontId="0" fillId="2" borderId="0" xfId="0" applyFill="1" applyBorder="1" applyAlignment="1">
      <alignment/>
    </xf>
    <xf numFmtId="0" fontId="0" fillId="2" borderId="0" xfId="0" applyFill="1" applyAlignment="1">
      <alignment/>
    </xf>
    <xf numFmtId="164" fontId="0" fillId="3" borderId="0" xfId="0" applyNumberFormat="1" applyFill="1" applyBorder="1" applyAlignment="1" applyProtection="1">
      <alignment/>
      <protection hidden="1"/>
    </xf>
    <xf numFmtId="1" fontId="0" fillId="3" borderId="0" xfId="0" applyNumberFormat="1" applyFill="1" applyAlignment="1" applyProtection="1">
      <alignment/>
      <protection hidden="1"/>
    </xf>
    <xf numFmtId="1" fontId="4" fillId="2" borderId="1" xfId="0" applyNumberFormat="1" applyFont="1" applyFill="1" applyBorder="1" applyAlignment="1" applyProtection="1">
      <alignment/>
      <protection hidden="1"/>
    </xf>
    <xf numFmtId="0" fontId="0" fillId="4" borderId="2" xfId="0" applyFill="1" applyBorder="1" applyAlignment="1" applyProtection="1">
      <alignment/>
      <protection hidden="1"/>
    </xf>
    <xf numFmtId="0" fontId="6" fillId="2" borderId="3" xfId="0" applyFont="1" applyFill="1" applyBorder="1" applyAlignment="1" applyProtection="1">
      <alignment/>
      <protection hidden="1"/>
    </xf>
    <xf numFmtId="0" fontId="1" fillId="2" borderId="0" xfId="0" applyFont="1" applyFill="1" applyAlignment="1" applyProtection="1">
      <alignment/>
      <protection hidden="1"/>
    </xf>
    <xf numFmtId="0" fontId="0" fillId="2" borderId="0" xfId="0" applyFill="1" applyAlignment="1" applyProtection="1">
      <alignment/>
      <protection hidden="1"/>
    </xf>
    <xf numFmtId="0" fontId="7" fillId="2" borderId="0" xfId="0" applyFont="1" applyFill="1" applyAlignment="1" applyProtection="1">
      <alignment horizontal="left"/>
      <protection hidden="1"/>
    </xf>
    <xf numFmtId="0" fontId="0" fillId="2" borderId="1" xfId="0" applyFill="1" applyBorder="1" applyAlignment="1" applyProtection="1">
      <alignment/>
      <protection hidden="1"/>
    </xf>
    <xf numFmtId="0" fontId="0" fillId="2" borderId="3" xfId="0" applyFill="1" applyBorder="1" applyAlignment="1" applyProtection="1">
      <alignment/>
      <protection hidden="1"/>
    </xf>
    <xf numFmtId="0" fontId="0" fillId="2" borderId="0" xfId="0" applyFill="1" applyBorder="1" applyAlignment="1" applyProtection="1">
      <alignment/>
      <protection hidden="1"/>
    </xf>
    <xf numFmtId="0" fontId="7" fillId="2" borderId="0" xfId="0" applyFont="1" applyFill="1" applyAlignment="1" applyProtection="1">
      <alignment/>
      <protection hidden="1"/>
    </xf>
    <xf numFmtId="0" fontId="1" fillId="2" borderId="0" xfId="0" applyFont="1" applyFill="1" applyBorder="1" applyAlignment="1" applyProtection="1">
      <alignment/>
      <protection hidden="1"/>
    </xf>
    <xf numFmtId="49" fontId="1" fillId="2" borderId="0" xfId="0" applyNumberFormat="1" applyFont="1" applyFill="1" applyBorder="1" applyAlignment="1" applyProtection="1">
      <alignment/>
      <protection hidden="1"/>
    </xf>
    <xf numFmtId="0" fontId="5" fillId="2" borderId="0" xfId="0" applyFont="1" applyFill="1" applyBorder="1" applyAlignment="1" applyProtection="1">
      <alignment/>
      <protection hidden="1"/>
    </xf>
    <xf numFmtId="0" fontId="4" fillId="2" borderId="0" xfId="0" applyFont="1" applyFill="1" applyAlignment="1" applyProtection="1">
      <alignment/>
      <protection hidden="1"/>
    </xf>
    <xf numFmtId="0" fontId="0" fillId="2" borderId="4" xfId="0" applyFill="1" applyBorder="1" applyAlignment="1" applyProtection="1">
      <alignment/>
      <protection hidden="1"/>
    </xf>
    <xf numFmtId="0" fontId="0" fillId="2" borderId="5" xfId="0" applyFill="1" applyBorder="1" applyAlignment="1" applyProtection="1">
      <alignment/>
      <protection hidden="1"/>
    </xf>
    <xf numFmtId="0" fontId="1" fillId="2" borderId="5" xfId="0" applyFont="1" applyFill="1" applyBorder="1" applyAlignment="1" applyProtection="1">
      <alignment/>
      <protection hidden="1"/>
    </xf>
    <xf numFmtId="0" fontId="0" fillId="2" borderId="3" xfId="0" applyFill="1" applyBorder="1" applyAlignment="1" applyProtection="1">
      <alignment/>
      <protection locked="0"/>
    </xf>
    <xf numFmtId="0" fontId="0" fillId="2" borderId="0" xfId="0" applyFill="1" applyAlignment="1" applyProtection="1">
      <alignment/>
      <protection locked="0"/>
    </xf>
    <xf numFmtId="0" fontId="1" fillId="2" borderId="0" xfId="0" applyFont="1" applyFill="1" applyAlignment="1" applyProtection="1">
      <alignment/>
      <protection locked="0"/>
    </xf>
    <xf numFmtId="164" fontId="0" fillId="2" borderId="0" xfId="0" applyNumberFormat="1" applyFill="1" applyAlignment="1" applyProtection="1">
      <alignment horizontal="center"/>
      <protection locked="0"/>
    </xf>
    <xf numFmtId="0" fontId="0" fillId="2" borderId="3" xfId="0" applyFill="1" applyBorder="1" applyAlignment="1" applyProtection="1">
      <alignment/>
      <protection hidden="1" locked="0"/>
    </xf>
    <xf numFmtId="0" fontId="0" fillId="2" borderId="0" xfId="0" applyFill="1" applyAlignment="1" applyProtection="1">
      <alignment/>
      <protection hidden="1" locked="0"/>
    </xf>
    <xf numFmtId="0" fontId="0" fillId="2" borderId="0" xfId="0" applyFill="1" applyBorder="1" applyAlignment="1" applyProtection="1">
      <alignment/>
      <protection hidden="1" locked="0"/>
    </xf>
    <xf numFmtId="0" fontId="4" fillId="2" borderId="0" xfId="0" applyFont="1" applyFill="1" applyAlignment="1" applyProtection="1">
      <alignment/>
      <protection hidden="1" locked="0"/>
    </xf>
    <xf numFmtId="164" fontId="0" fillId="2" borderId="0" xfId="0" applyNumberFormat="1" applyFill="1" applyAlignment="1" applyProtection="1">
      <alignment/>
      <protection hidden="1" locked="0"/>
    </xf>
    <xf numFmtId="1" fontId="0" fillId="5" borderId="6" xfId="0" applyNumberFormat="1" applyFill="1" applyBorder="1" applyAlignment="1" applyProtection="1">
      <alignment horizontal="center"/>
      <protection hidden="1"/>
    </xf>
    <xf numFmtId="164" fontId="0" fillId="5" borderId="6" xfId="0" applyNumberFormat="1" applyFill="1" applyBorder="1" applyAlignment="1" applyProtection="1">
      <alignment horizontal="center"/>
      <protection hidden="1"/>
    </xf>
    <xf numFmtId="1" fontId="4" fillId="2" borderId="0" xfId="0" applyNumberFormat="1" applyFont="1" applyFill="1" applyBorder="1" applyAlignment="1" applyProtection="1">
      <alignment/>
      <protection hidden="1"/>
    </xf>
    <xf numFmtId="0" fontId="0" fillId="5" borderId="0" xfId="0" applyFill="1" applyBorder="1" applyAlignment="1">
      <alignment/>
    </xf>
    <xf numFmtId="0" fontId="0" fillId="5" borderId="0" xfId="0" applyFill="1" applyAlignment="1">
      <alignment/>
    </xf>
    <xf numFmtId="1" fontId="0" fillId="5" borderId="6" xfId="0" applyNumberFormat="1" applyFont="1" applyFill="1" applyBorder="1" applyAlignment="1" applyProtection="1">
      <alignment horizontal="center"/>
      <protection hidden="1"/>
    </xf>
    <xf numFmtId="0" fontId="0" fillId="2" borderId="1" xfId="0" applyFill="1" applyBorder="1" applyAlignment="1">
      <alignment/>
    </xf>
    <xf numFmtId="0" fontId="0" fillId="2" borderId="7" xfId="0" applyFill="1" applyBorder="1" applyAlignment="1" applyProtection="1">
      <alignment/>
      <protection hidden="1"/>
    </xf>
    <xf numFmtId="0" fontId="1" fillId="2" borderId="1" xfId="0" applyFont="1" applyFill="1" applyBorder="1" applyAlignment="1" applyProtection="1">
      <alignment/>
      <protection hidden="1"/>
    </xf>
    <xf numFmtId="0" fontId="0" fillId="2" borderId="0" xfId="0" applyFont="1" applyFill="1" applyBorder="1" applyAlignment="1" applyProtection="1">
      <alignment/>
      <protection hidden="1"/>
    </xf>
    <xf numFmtId="0" fontId="7" fillId="2" borderId="3" xfId="0" applyFont="1" applyFill="1" applyBorder="1" applyAlignment="1" applyProtection="1">
      <alignment/>
      <protection hidden="1"/>
    </xf>
    <xf numFmtId="0" fontId="0" fillId="2" borderId="3" xfId="0" applyFill="1" applyBorder="1" applyAlignment="1">
      <alignment/>
    </xf>
    <xf numFmtId="0" fontId="4" fillId="2" borderId="1" xfId="0" applyFont="1" applyFill="1" applyBorder="1" applyAlignment="1" applyProtection="1">
      <alignment/>
      <protection hidden="1" locked="0"/>
    </xf>
    <xf numFmtId="0" fontId="1" fillId="2" borderId="3" xfId="0" applyFont="1" applyFill="1" applyBorder="1" applyAlignment="1" applyProtection="1">
      <alignment/>
      <protection hidden="1"/>
    </xf>
    <xf numFmtId="0" fontId="0" fillId="2" borderId="4" xfId="0" applyFill="1" applyBorder="1" applyAlignment="1">
      <alignment/>
    </xf>
    <xf numFmtId="0" fontId="4" fillId="2" borderId="0" xfId="0" applyFont="1" applyFill="1" applyBorder="1" applyAlignment="1" applyProtection="1">
      <alignment/>
      <protection hidden="1" locked="0"/>
    </xf>
    <xf numFmtId="1" fontId="4" fillId="2" borderId="3" xfId="0" applyNumberFormat="1" applyFont="1" applyFill="1" applyBorder="1" applyAlignment="1" applyProtection="1">
      <alignment/>
      <protection hidden="1"/>
    </xf>
    <xf numFmtId="0" fontId="1" fillId="2" borderId="7" xfId="0" applyFont="1" applyFill="1" applyBorder="1" applyAlignment="1" applyProtection="1">
      <alignment/>
      <protection hidden="1"/>
    </xf>
    <xf numFmtId="1" fontId="13" fillId="2" borderId="1" xfId="0" applyNumberFormat="1" applyFont="1" applyFill="1" applyBorder="1" applyAlignment="1" applyProtection="1">
      <alignment/>
      <protection/>
    </xf>
    <xf numFmtId="0" fontId="0" fillId="5" borderId="6" xfId="0" applyFill="1" applyBorder="1" applyAlignment="1" applyProtection="1">
      <alignment horizontal="center"/>
      <protection hidden="1"/>
    </xf>
    <xf numFmtId="0" fontId="13" fillId="5" borderId="6" xfId="0" applyFont="1" applyFill="1" applyBorder="1" applyAlignment="1" applyProtection="1">
      <alignment horizontal="center"/>
      <protection hidden="1"/>
    </xf>
    <xf numFmtId="0" fontId="4" fillId="2" borderId="5" xfId="0" applyFont="1" applyFill="1" applyBorder="1" applyAlignment="1" applyProtection="1">
      <alignment/>
      <protection hidden="1" locked="0"/>
    </xf>
    <xf numFmtId="0" fontId="4" fillId="2" borderId="0" xfId="0" applyFont="1" applyFill="1" applyBorder="1" applyAlignment="1" applyProtection="1">
      <alignment/>
      <protection hidden="1"/>
    </xf>
    <xf numFmtId="0" fontId="7" fillId="2" borderId="0" xfId="0" applyFont="1" applyFill="1" applyAlignment="1" applyProtection="1">
      <alignment horizontal="center"/>
      <protection hidden="1"/>
    </xf>
    <xf numFmtId="0" fontId="0" fillId="2" borderId="5" xfId="0" applyFill="1" applyBorder="1" applyAlignment="1">
      <alignment/>
    </xf>
    <xf numFmtId="2" fontId="4" fillId="2" borderId="0" xfId="0" applyNumberFormat="1" applyFont="1" applyFill="1" applyBorder="1" applyAlignment="1" applyProtection="1">
      <alignment horizontal="right"/>
      <protection hidden="1"/>
    </xf>
    <xf numFmtId="0" fontId="10" fillId="2" borderId="8" xfId="0" applyFont="1" applyFill="1" applyBorder="1" applyAlignment="1" applyProtection="1">
      <alignment/>
      <protection hidden="1"/>
    </xf>
    <xf numFmtId="1" fontId="13" fillId="2" borderId="0" xfId="0" applyNumberFormat="1" applyFont="1" applyFill="1" applyAlignment="1" applyProtection="1">
      <alignment/>
      <protection hidden="1" locked="0"/>
    </xf>
    <xf numFmtId="2" fontId="13" fillId="2" borderId="0" xfId="0" applyNumberFormat="1" applyFont="1" applyFill="1" applyBorder="1" applyAlignment="1" applyProtection="1">
      <alignment/>
      <protection hidden="1"/>
    </xf>
    <xf numFmtId="0" fontId="0" fillId="5" borderId="6" xfId="0" applyFill="1" applyBorder="1" applyAlignment="1">
      <alignment horizontal="center"/>
    </xf>
    <xf numFmtId="0" fontId="4" fillId="2" borderId="0" xfId="0" applyFont="1" applyFill="1" applyBorder="1" applyAlignment="1" applyProtection="1">
      <alignment horizontal="center"/>
      <protection hidden="1"/>
    </xf>
    <xf numFmtId="0" fontId="21" fillId="2" borderId="0" xfId="0" applyFont="1" applyFill="1" applyBorder="1" applyAlignment="1" applyProtection="1">
      <alignment/>
      <protection hidden="1"/>
    </xf>
    <xf numFmtId="168" fontId="0" fillId="0" borderId="0" xfId="0" applyNumberFormat="1" applyAlignment="1">
      <alignment/>
    </xf>
    <xf numFmtId="0" fontId="0" fillId="0" borderId="0" xfId="0" applyFont="1" applyAlignment="1" applyProtection="1">
      <alignment/>
      <protection hidden="1"/>
    </xf>
    <xf numFmtId="168" fontId="0" fillId="0" borderId="0" xfId="0" applyNumberFormat="1" applyFont="1" applyAlignment="1" applyProtection="1">
      <alignment/>
      <protection hidden="1"/>
    </xf>
    <xf numFmtId="0" fontId="0" fillId="0" borderId="0" xfId="0" applyFont="1" applyAlignment="1">
      <alignment/>
    </xf>
    <xf numFmtId="164" fontId="0" fillId="0" borderId="0" xfId="0" applyNumberFormat="1" applyBorder="1" applyAlignment="1">
      <alignment/>
    </xf>
    <xf numFmtId="164" fontId="0" fillId="5" borderId="0" xfId="0" applyNumberFormat="1" applyFill="1" applyBorder="1" applyAlignment="1">
      <alignment/>
    </xf>
    <xf numFmtId="164" fontId="0" fillId="6" borderId="0" xfId="0" applyNumberFormat="1" applyFill="1" applyBorder="1" applyAlignment="1" applyProtection="1">
      <alignment/>
      <protection hidden="1"/>
    </xf>
    <xf numFmtId="0" fontId="0" fillId="2" borderId="3" xfId="0" applyFont="1" applyFill="1" applyBorder="1" applyAlignment="1">
      <alignment/>
    </xf>
    <xf numFmtId="0" fontId="0" fillId="2" borderId="3" xfId="0" applyFont="1" applyFill="1" applyBorder="1" applyAlignment="1" applyProtection="1">
      <alignment/>
      <protection hidden="1"/>
    </xf>
    <xf numFmtId="0" fontId="0" fillId="2" borderId="4" xfId="0" applyFont="1" applyFill="1" applyBorder="1" applyAlignment="1" applyProtection="1">
      <alignment/>
      <protection hidden="1"/>
    </xf>
    <xf numFmtId="168" fontId="0" fillId="3" borderId="0" xfId="0" applyNumberFormat="1" applyFill="1" applyBorder="1" applyAlignment="1" applyProtection="1">
      <alignment/>
      <protection hidden="1"/>
    </xf>
    <xf numFmtId="0" fontId="0" fillId="2" borderId="9" xfId="0" applyFill="1" applyBorder="1" applyAlignment="1" applyProtection="1">
      <alignment/>
      <protection hidden="1"/>
    </xf>
    <xf numFmtId="0" fontId="1" fillId="2" borderId="0" xfId="0" applyFont="1" applyFill="1" applyBorder="1" applyAlignment="1" applyProtection="1">
      <alignment/>
      <protection hidden="1" locked="0"/>
    </xf>
    <xf numFmtId="164" fontId="0" fillId="2" borderId="0" xfId="0" applyNumberFormat="1" applyFont="1" applyFill="1" applyBorder="1" applyAlignment="1">
      <alignment/>
    </xf>
    <xf numFmtId="0" fontId="4" fillId="2" borderId="0" xfId="0" applyFont="1" applyFill="1" applyAlignment="1">
      <alignment/>
    </xf>
    <xf numFmtId="0" fontId="26" fillId="2" borderId="0" xfId="0" applyFont="1" applyFill="1" applyAlignment="1">
      <alignment horizontal="center"/>
    </xf>
    <xf numFmtId="0" fontId="4" fillId="2" borderId="0" xfId="0" applyFont="1" applyFill="1" applyAlignment="1">
      <alignment horizontal="right"/>
    </xf>
    <xf numFmtId="0" fontId="4" fillId="2" borderId="0" xfId="0" applyFont="1" applyFill="1" applyAlignment="1">
      <alignment horizontal="left"/>
    </xf>
    <xf numFmtId="0" fontId="4" fillId="2" borderId="0" xfId="0" applyFont="1" applyFill="1" applyAlignment="1" quotePrefix="1">
      <alignment/>
    </xf>
    <xf numFmtId="0" fontId="27" fillId="2" borderId="0" xfId="0" applyFont="1" applyFill="1" applyAlignment="1">
      <alignment/>
    </xf>
    <xf numFmtId="1" fontId="27" fillId="2" borderId="0" xfId="0" applyNumberFormat="1" applyFont="1" applyFill="1" applyBorder="1" applyAlignment="1">
      <alignment/>
    </xf>
    <xf numFmtId="1" fontId="4" fillId="2" borderId="0" xfId="0" applyNumberFormat="1" applyFont="1" applyFill="1" applyBorder="1" applyAlignment="1">
      <alignment/>
    </xf>
    <xf numFmtId="0" fontId="4" fillId="2" borderId="0" xfId="0" applyFont="1" applyFill="1" applyBorder="1" applyAlignment="1">
      <alignment/>
    </xf>
    <xf numFmtId="0" fontId="3" fillId="4" borderId="10" xfId="0" applyFont="1" applyFill="1" applyBorder="1" applyAlignment="1" applyProtection="1">
      <alignment horizontal="left"/>
      <protection hidden="1"/>
    </xf>
    <xf numFmtId="22" fontId="0" fillId="2" borderId="1" xfId="0" applyNumberFormat="1" applyFill="1" applyBorder="1" applyAlignment="1" applyProtection="1">
      <alignment/>
      <protection hidden="1"/>
    </xf>
    <xf numFmtId="14" fontId="4" fillId="2" borderId="1" xfId="0" applyNumberFormat="1" applyFont="1" applyFill="1" applyBorder="1" applyAlignment="1" applyProtection="1">
      <alignment/>
      <protection hidden="1"/>
    </xf>
    <xf numFmtId="22" fontId="4" fillId="2" borderId="1" xfId="0" applyNumberFormat="1" applyFont="1" applyFill="1" applyBorder="1" applyAlignment="1" applyProtection="1">
      <alignment/>
      <protection hidden="1"/>
    </xf>
    <xf numFmtId="22" fontId="0" fillId="2" borderId="0" xfId="0" applyNumberFormat="1" applyFill="1" applyBorder="1" applyAlignment="1" applyProtection="1">
      <alignment/>
      <protection hidden="1"/>
    </xf>
    <xf numFmtId="22" fontId="28" fillId="2" borderId="0" xfId="0" applyNumberFormat="1" applyFont="1" applyFill="1" applyBorder="1" applyAlignment="1" applyProtection="1">
      <alignment horizontal="left"/>
      <protection hidden="1"/>
    </xf>
    <xf numFmtId="0" fontId="0" fillId="2" borderId="1" xfId="0" applyFont="1" applyFill="1" applyBorder="1" applyAlignment="1" applyProtection="1">
      <alignment/>
      <protection hidden="1"/>
    </xf>
    <xf numFmtId="0" fontId="0" fillId="2" borderId="0" xfId="0" applyFont="1" applyFill="1" applyBorder="1" applyAlignment="1">
      <alignment/>
    </xf>
    <xf numFmtId="0" fontId="25" fillId="2" borderId="0" xfId="0" applyFont="1" applyFill="1" applyBorder="1" applyAlignment="1" applyProtection="1">
      <alignment/>
      <protection hidden="1"/>
    </xf>
    <xf numFmtId="0" fontId="19" fillId="2" borderId="0" xfId="0" applyFont="1" applyFill="1" applyBorder="1" applyAlignment="1" applyProtection="1">
      <alignment/>
      <protection hidden="1"/>
    </xf>
    <xf numFmtId="1" fontId="1" fillId="6" borderId="0" xfId="0" applyNumberFormat="1" applyFont="1" applyFill="1" applyBorder="1" applyAlignment="1" applyProtection="1">
      <alignment horizontal="right"/>
      <protection hidden="1"/>
    </xf>
    <xf numFmtId="0" fontId="20" fillId="2" borderId="0" xfId="0" applyFont="1" applyFill="1" applyBorder="1" applyAlignment="1" applyProtection="1">
      <alignment/>
      <protection hidden="1"/>
    </xf>
    <xf numFmtId="1" fontId="0" fillId="3" borderId="0" xfId="0" applyNumberFormat="1" applyFill="1" applyBorder="1" applyAlignment="1" applyProtection="1">
      <alignment/>
      <protection hidden="1"/>
    </xf>
    <xf numFmtId="22" fontId="29" fillId="4" borderId="10" xfId="0" applyNumberFormat="1" applyFont="1" applyFill="1" applyBorder="1" applyAlignment="1" applyProtection="1">
      <alignment horizontal="left"/>
      <protection hidden="1"/>
    </xf>
    <xf numFmtId="2" fontId="4" fillId="2" borderId="11" xfId="0" applyNumberFormat="1" applyFont="1" applyFill="1" applyBorder="1" applyAlignment="1" applyProtection="1">
      <alignment/>
      <protection hidden="1"/>
    </xf>
    <xf numFmtId="0" fontId="17" fillId="2" borderId="12" xfId="0" applyFont="1" applyFill="1" applyBorder="1" applyAlignment="1" applyProtection="1">
      <alignment/>
      <protection hidden="1"/>
    </xf>
    <xf numFmtId="0" fontId="0" fillId="2" borderId="11" xfId="0" applyFill="1" applyBorder="1" applyAlignment="1">
      <alignment/>
    </xf>
    <xf numFmtId="1" fontId="4" fillId="2" borderId="11" xfId="0" applyNumberFormat="1" applyFont="1" applyFill="1" applyBorder="1" applyAlignment="1" applyProtection="1">
      <alignment horizontal="right"/>
      <protection hidden="1"/>
    </xf>
    <xf numFmtId="1" fontId="4" fillId="2" borderId="11" xfId="0" applyNumberFormat="1" applyFont="1" applyFill="1" applyBorder="1" applyAlignment="1" applyProtection="1">
      <alignment/>
      <protection hidden="1"/>
    </xf>
    <xf numFmtId="1" fontId="4" fillId="2" borderId="13" xfId="0" applyNumberFormat="1" applyFont="1" applyFill="1" applyBorder="1" applyAlignment="1" applyProtection="1">
      <alignment/>
      <protection hidden="1"/>
    </xf>
    <xf numFmtId="0" fontId="4" fillId="2" borderId="14" xfId="0" applyFont="1" applyFill="1" applyBorder="1" applyAlignment="1" applyProtection="1">
      <alignment/>
      <protection hidden="1"/>
    </xf>
    <xf numFmtId="1" fontId="4" fillId="2" borderId="15" xfId="0" applyNumberFormat="1" applyFont="1" applyFill="1" applyBorder="1" applyAlignment="1" applyProtection="1">
      <alignment/>
      <protection hidden="1"/>
    </xf>
    <xf numFmtId="1" fontId="4" fillId="2" borderId="14" xfId="0" applyNumberFormat="1" applyFont="1" applyFill="1" applyBorder="1" applyAlignment="1" applyProtection="1">
      <alignment/>
      <protection hidden="1"/>
    </xf>
    <xf numFmtId="1" fontId="4" fillId="2" borderId="15" xfId="0" applyNumberFormat="1" applyFont="1" applyFill="1" applyBorder="1" applyAlignment="1" applyProtection="1">
      <alignment horizontal="left"/>
      <protection hidden="1"/>
    </xf>
    <xf numFmtId="1" fontId="4" fillId="2" borderId="14" xfId="0" applyNumberFormat="1" applyFont="1" applyFill="1" applyBorder="1" applyAlignment="1" applyProtection="1">
      <alignment horizontal="right"/>
      <protection hidden="1"/>
    </xf>
    <xf numFmtId="0" fontId="0" fillId="2" borderId="15" xfId="0" applyFill="1" applyBorder="1" applyAlignment="1" applyProtection="1">
      <alignment/>
      <protection hidden="1"/>
    </xf>
    <xf numFmtId="0" fontId="0" fillId="2" borderId="14" xfId="0" applyFill="1" applyBorder="1" applyAlignment="1" applyProtection="1">
      <alignment/>
      <protection hidden="1"/>
    </xf>
    <xf numFmtId="2" fontId="13" fillId="2" borderId="14" xfId="0" applyNumberFormat="1" applyFont="1" applyFill="1" applyBorder="1" applyAlignment="1" applyProtection="1">
      <alignment/>
      <protection hidden="1"/>
    </xf>
    <xf numFmtId="0" fontId="0" fillId="2" borderId="15" xfId="0" applyFill="1" applyBorder="1" applyAlignment="1">
      <alignment/>
    </xf>
    <xf numFmtId="0" fontId="18" fillId="2" borderId="16" xfId="0" applyFont="1" applyFill="1" applyBorder="1" applyAlignment="1">
      <alignment/>
    </xf>
    <xf numFmtId="0" fontId="0" fillId="2" borderId="17" xfId="0" applyFill="1" applyBorder="1" applyAlignment="1">
      <alignment/>
    </xf>
    <xf numFmtId="0" fontId="0" fillId="2" borderId="17" xfId="0" applyFill="1" applyBorder="1" applyAlignment="1" applyProtection="1">
      <alignment/>
      <protection hidden="1"/>
    </xf>
    <xf numFmtId="0" fontId="4" fillId="2" borderId="18" xfId="0" applyFont="1" applyFill="1" applyBorder="1" applyAlignment="1" applyProtection="1">
      <alignment/>
      <protection hidden="1"/>
    </xf>
    <xf numFmtId="22" fontId="30" fillId="4" borderId="19" xfId="0" applyNumberFormat="1" applyFont="1" applyFill="1" applyBorder="1" applyAlignment="1" applyProtection="1">
      <alignment horizontal="right"/>
      <protection hidden="1"/>
    </xf>
    <xf numFmtId="0" fontId="0" fillId="2" borderId="20" xfId="0" applyFont="1" applyFill="1" applyBorder="1" applyAlignment="1">
      <alignment/>
    </xf>
    <xf numFmtId="14" fontId="31" fillId="2" borderId="1" xfId="0" applyNumberFormat="1" applyFont="1" applyFill="1" applyBorder="1" applyAlignment="1" applyProtection="1">
      <alignment horizontal="left"/>
      <protection hidden="1"/>
    </xf>
    <xf numFmtId="0" fontId="1" fillId="2" borderId="0" xfId="0" applyFont="1" applyFill="1" applyAlignment="1">
      <alignment/>
    </xf>
    <xf numFmtId="1" fontId="0" fillId="0" borderId="6" xfId="0" applyNumberFormat="1" applyFill="1" applyBorder="1" applyAlignment="1">
      <alignment horizontal="center"/>
    </xf>
    <xf numFmtId="2" fontId="0" fillId="3" borderId="0" xfId="0" applyNumberFormat="1" applyFont="1" applyFill="1" applyBorder="1" applyAlignment="1" applyProtection="1">
      <alignment/>
      <protection hidden="1"/>
    </xf>
    <xf numFmtId="164" fontId="0" fillId="2" borderId="0" xfId="0" applyNumberFormat="1" applyFill="1" applyAlignment="1" applyProtection="1">
      <alignment/>
      <protection hidden="1"/>
    </xf>
    <xf numFmtId="168" fontId="0" fillId="2" borderId="0" xfId="0" applyNumberFormat="1" applyFill="1" applyAlignment="1" applyProtection="1">
      <alignment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9E8D3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CE9D6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1"/>
          <c:y val="0.0225"/>
          <c:w val="0.895"/>
          <c:h val="0.913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Sheet1!$H$14:$H$18</c:f>
              <c:numCache/>
            </c:numRef>
          </c:cat>
          <c:val>
            <c:numRef>
              <c:f>Sheet1!$H$25:$H$29</c:f>
              <c:numCache/>
            </c:numRef>
          </c:val>
        </c:ser>
        <c:ser>
          <c:idx val="1"/>
          <c:order val="1"/>
          <c:tx>
            <c:v>shadow</c:v>
          </c:tx>
          <c:spPr>
            <a:solidFill>
              <a:srgbClr val="FFFFFF"/>
            </a:solidFill>
            <a:ln w="12700">
              <a:solidFill>
                <a:srgbClr val="969696"/>
              </a:solidFill>
              <a:prstDash val="sysDot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Sheet1!$I$25:$I$29</c:f>
              <c:numCache/>
            </c:numRef>
          </c:val>
        </c:ser>
        <c:axId val="284128"/>
        <c:axId val="2557153"/>
      </c:barChart>
      <c:catAx>
        <c:axId val="2841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800080"/>
                    </a:solidFill>
                    <a:latin typeface="Arial"/>
                    <a:ea typeface="Arial"/>
                    <a:cs typeface="Arial"/>
                  </a:rPr>
                  <a:t>skin type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solidFill>
                  <a:srgbClr val="800080"/>
                </a:solidFill>
                <a:latin typeface="Arial"/>
                <a:ea typeface="Arial"/>
                <a:cs typeface="Arial"/>
              </a:defRPr>
            </a:pPr>
          </a:p>
        </c:txPr>
        <c:crossAx val="2557153"/>
        <c:crossesAt val="0"/>
        <c:auto val="1"/>
        <c:lblOffset val="100"/>
        <c:noMultiLvlLbl val="0"/>
      </c:catAx>
      <c:valAx>
        <c:axId val="2557153"/>
        <c:scaling>
          <c:orientation val="minMax"/>
          <c:max val="4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800080"/>
                    </a:solidFill>
                    <a:latin typeface="Arial"/>
                    <a:ea typeface="Arial"/>
                    <a:cs typeface="Arial"/>
                  </a:rPr>
                  <a:t>MED (standardized-CIE)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solidFill>
                  <a:srgbClr val="800080"/>
                </a:solidFill>
                <a:latin typeface="Arial"/>
                <a:ea typeface="Arial"/>
                <a:cs typeface="Arial"/>
              </a:defRPr>
            </a:pPr>
          </a:p>
        </c:txPr>
        <c:crossAx val="284128"/>
        <c:crossesAt val="1"/>
        <c:crossBetween val="between"/>
        <c:dispUnits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CE9D6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"/>
          <c:y val="0.02325"/>
          <c:w val="0.91275"/>
          <c:h val="0.9375"/>
        </c:manualLayout>
      </c:layout>
      <c:barChart>
        <c:barDir val="col"/>
        <c:grouping val="clustered"/>
        <c:varyColors val="0"/>
        <c:ser>
          <c:idx val="1"/>
          <c:order val="0"/>
          <c:tx>
            <c:v>Vit D IU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Sheet1!$N$30</c:f>
              <c:strCache/>
            </c:strRef>
          </c:cat>
          <c:val>
            <c:numRef>
              <c:f>Sheet1!$N$12</c:f>
              <c:numCache/>
            </c:numRef>
          </c:val>
        </c:ser>
        <c:axId val="23014378"/>
        <c:axId val="5802811"/>
      </c:barChart>
      <c:lineChart>
        <c:grouping val="standard"/>
        <c:varyColors val="0"/>
        <c:ser>
          <c:idx val="0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Sheet1!$H$12</c:f>
              <c:numCache/>
            </c:numRef>
          </c:val>
          <c:smooth val="0"/>
        </c:ser>
        <c:axId val="52225300"/>
        <c:axId val="265653"/>
      </c:lineChart>
      <c:catAx>
        <c:axId val="2301437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solidFill>
                  <a:srgbClr val="800080"/>
                </a:solidFill>
                <a:latin typeface="Arial"/>
                <a:ea typeface="Arial"/>
                <a:cs typeface="Arial"/>
              </a:defRPr>
            </a:pPr>
          </a:p>
        </c:txPr>
        <c:crossAx val="5802811"/>
        <c:crossesAt val="0"/>
        <c:auto val="0"/>
        <c:lblOffset val="100"/>
        <c:tickLblSkip val="1"/>
        <c:noMultiLvlLbl val="0"/>
      </c:catAx>
      <c:valAx>
        <c:axId val="5802811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solidFill>
                  <a:srgbClr val="800080"/>
                </a:solidFill>
                <a:latin typeface="Arial"/>
                <a:ea typeface="Arial"/>
                <a:cs typeface="Arial"/>
              </a:defRPr>
            </a:pPr>
          </a:p>
        </c:txPr>
        <c:crossAx val="23014378"/>
        <c:crossesAt val="1"/>
        <c:crossBetween val="between"/>
        <c:dispUnits/>
        <c:majorUnit val="1000"/>
      </c:valAx>
      <c:catAx>
        <c:axId val="52225300"/>
        <c:scaling>
          <c:orientation val="minMax"/>
        </c:scaling>
        <c:axPos val="b"/>
        <c:delete val="1"/>
        <c:majorTickMark val="in"/>
        <c:minorTickMark val="none"/>
        <c:tickLblPos val="nextTo"/>
        <c:crossAx val="265653"/>
        <c:crosses val="autoZero"/>
        <c:auto val="0"/>
        <c:lblOffset val="100"/>
        <c:tickLblSkip val="1"/>
        <c:noMultiLvlLbl val="0"/>
      </c:catAx>
      <c:valAx>
        <c:axId val="265653"/>
        <c:scaling>
          <c:orientation val="minMax"/>
        </c:scaling>
        <c:axPos val="l"/>
        <c:delete val="1"/>
        <c:majorTickMark val="in"/>
        <c:minorTickMark val="none"/>
        <c:tickLblPos val="nextTo"/>
        <c:crossAx val="5222530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969696"/>
          </a:solidFill>
        </a:ln>
      </c:spPr>
    </c:plotArea>
    <c:plotVisOnly val="1"/>
    <c:dispBlanksAs val="gap"/>
    <c:showDLblsOverMax val="0"/>
  </c:chart>
  <c:spPr>
    <a:solidFill>
      <a:srgbClr val="FCE9D6"/>
    </a:soli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15</xdr:row>
      <xdr:rowOff>0</xdr:rowOff>
    </xdr:from>
    <xdr:to>
      <xdr:col>13</xdr:col>
      <xdr:colOff>1238250</xdr:colOff>
      <xdr:row>29</xdr:row>
      <xdr:rowOff>123825</xdr:rowOff>
    </xdr:to>
    <xdr:graphicFrame>
      <xdr:nvGraphicFramePr>
        <xdr:cNvPr id="1" name="Chart 50"/>
        <xdr:cNvGraphicFramePr/>
      </xdr:nvGraphicFramePr>
      <xdr:xfrm>
        <a:off x="4962525" y="2705100"/>
        <a:ext cx="3724275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28575</xdr:colOff>
      <xdr:row>12</xdr:row>
      <xdr:rowOff>76200</xdr:rowOff>
    </xdr:from>
    <xdr:to>
      <xdr:col>9</xdr:col>
      <xdr:colOff>133350</xdr:colOff>
      <xdr:row>29</xdr:row>
      <xdr:rowOff>152400</xdr:rowOff>
    </xdr:to>
    <xdr:graphicFrame>
      <xdr:nvGraphicFramePr>
        <xdr:cNvPr id="2" name="Chart 51"/>
        <xdr:cNvGraphicFramePr/>
      </xdr:nvGraphicFramePr>
      <xdr:xfrm>
        <a:off x="3581400" y="2295525"/>
        <a:ext cx="1514475" cy="3000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Q62"/>
  <sheetViews>
    <sheetView showRowColHeaders="0" tabSelected="1" workbookViewId="0" topLeftCell="A1">
      <selection activeCell="C13" sqref="C13"/>
    </sheetView>
  </sheetViews>
  <sheetFormatPr defaultColWidth="9.140625" defaultRowHeight="12.75"/>
  <cols>
    <col min="1" max="1" width="2.28125" style="35" customWidth="1"/>
    <col min="2" max="2" width="7.140625" style="2" customWidth="1"/>
    <col min="3" max="4" width="9.140625" style="2" customWidth="1"/>
    <col min="5" max="5" width="9.28125" style="2" bestFit="1" customWidth="1"/>
    <col min="6" max="6" width="11.140625" style="2" bestFit="1" customWidth="1"/>
    <col min="7" max="7" width="5.140625" style="2" customWidth="1"/>
    <col min="8" max="8" width="10.57421875" style="2" customWidth="1"/>
    <col min="9" max="9" width="10.57421875" style="2" bestFit="1" customWidth="1"/>
    <col min="10" max="10" width="8.28125" style="2" customWidth="1"/>
    <col min="11" max="11" width="9.140625" style="2" customWidth="1"/>
    <col min="12" max="12" width="9.28125" style="2" bestFit="1" customWidth="1"/>
    <col min="13" max="13" width="10.57421875" style="2" customWidth="1"/>
    <col min="14" max="14" width="19.140625" style="2" customWidth="1"/>
    <col min="15" max="15" width="9.7109375" style="34" customWidth="1"/>
    <col min="16" max="17" width="9.140625" style="35" customWidth="1"/>
    <col min="18" max="16384" width="9.140625" style="2" customWidth="1"/>
  </cols>
  <sheetData>
    <row r="1" spans="2:14" ht="21" thickBot="1">
      <c r="B1" s="6"/>
      <c r="C1" s="86" t="s">
        <v>6</v>
      </c>
      <c r="D1" s="86"/>
      <c r="E1" s="86"/>
      <c r="F1" s="86"/>
      <c r="G1" s="86"/>
      <c r="H1" s="86"/>
      <c r="I1" s="86"/>
      <c r="J1" s="86"/>
      <c r="K1" s="86"/>
      <c r="L1" s="86"/>
      <c r="M1" s="99"/>
      <c r="N1" s="119" t="str">
        <f>TEXT(N5,"mmmm dd, yyyy ")</f>
        <v>November 19, 2012 </v>
      </c>
    </row>
    <row r="2" spans="2:14" ht="18.75" thickTop="1">
      <c r="B2" s="7" t="s">
        <v>11</v>
      </c>
      <c r="C2" s="8"/>
      <c r="D2" s="9"/>
      <c r="E2" s="9"/>
      <c r="F2" s="9"/>
      <c r="G2" s="9"/>
      <c r="H2" s="9"/>
      <c r="I2" s="9"/>
      <c r="J2" s="10" t="s">
        <v>9</v>
      </c>
      <c r="K2" s="9"/>
      <c r="L2" s="9"/>
      <c r="M2" s="9"/>
      <c r="N2" s="120"/>
    </row>
    <row r="3" spans="2:14" ht="12.75" customHeight="1">
      <c r="B3" s="12"/>
      <c r="C3" s="9"/>
      <c r="D3" s="9"/>
      <c r="E3" s="9"/>
      <c r="F3" s="9" t="s">
        <v>0</v>
      </c>
      <c r="G3" s="13" t="s">
        <v>0</v>
      </c>
      <c r="H3" s="9"/>
      <c r="I3" s="9"/>
      <c r="J3" s="73">
        <f>+J5/40</f>
        <v>0.8788500175770004</v>
      </c>
      <c r="K3" s="8" t="s">
        <v>10</v>
      </c>
      <c r="L3" s="9"/>
      <c r="M3" s="9"/>
      <c r="N3" s="88">
        <f ca="1">TODAY()</f>
        <v>41232</v>
      </c>
    </row>
    <row r="4" spans="2:14" ht="12.75" customHeight="1">
      <c r="B4" s="12"/>
      <c r="C4" s="9"/>
      <c r="D4" s="14" t="s">
        <v>7</v>
      </c>
      <c r="E4" s="9"/>
      <c r="F4" s="9"/>
      <c r="G4" s="9"/>
      <c r="H4" s="9"/>
      <c r="I4" s="9"/>
      <c r="J4" s="4">
        <f>+J3*1000</f>
        <v>878.8500175770005</v>
      </c>
      <c r="K4" s="8" t="s">
        <v>5</v>
      </c>
      <c r="L4" s="9"/>
      <c r="M4" s="9"/>
      <c r="N4" s="121" t="s">
        <v>0</v>
      </c>
    </row>
    <row r="5" spans="2:14" ht="12.75">
      <c r="B5" s="22"/>
      <c r="C5" s="23"/>
      <c r="D5" s="23"/>
      <c r="E5" s="31">
        <f>+D7/10</f>
        <v>251.1</v>
      </c>
      <c r="F5" s="24" t="s">
        <v>0</v>
      </c>
      <c r="G5" s="25"/>
      <c r="H5" s="23"/>
      <c r="I5" s="9"/>
      <c r="J5" s="3">
        <f>+E5/7.142857</f>
        <v>35.154000703080015</v>
      </c>
      <c r="K5" s="15" t="s">
        <v>27</v>
      </c>
      <c r="L5" s="13"/>
      <c r="M5" s="9"/>
      <c r="N5" s="89">
        <f ca="1">NOW()</f>
        <v>41232.352868981485</v>
      </c>
    </row>
    <row r="6" spans="2:14" ht="12.75" customHeight="1">
      <c r="B6" s="22"/>
      <c r="C6" s="23"/>
      <c r="D6" s="23" t="s">
        <v>0</v>
      </c>
      <c r="E6" s="25"/>
      <c r="F6" s="23"/>
      <c r="G6" s="25" t="s">
        <v>0</v>
      </c>
      <c r="H6" s="23"/>
      <c r="I6" s="16" t="s">
        <v>4</v>
      </c>
      <c r="J6" s="3">
        <f>+J3*3600/210</f>
        <v>15.066000301320006</v>
      </c>
      <c r="K6" s="17" t="s">
        <v>33</v>
      </c>
      <c r="L6" s="9"/>
      <c r="N6" s="37"/>
    </row>
    <row r="7" spans="2:14" ht="12.75" customHeight="1">
      <c r="B7" s="22"/>
      <c r="C7" s="23"/>
      <c r="D7" s="29">
        <v>2511</v>
      </c>
      <c r="E7" s="25" t="s">
        <v>0</v>
      </c>
      <c r="F7" s="23"/>
      <c r="G7" s="23"/>
      <c r="H7" s="23"/>
      <c r="I7" s="9"/>
      <c r="J7" s="3">
        <f>+J3*3600/200</f>
        <v>15.819300316386007</v>
      </c>
      <c r="K7" s="17" t="s">
        <v>31</v>
      </c>
      <c r="L7" s="9"/>
      <c r="N7" s="37"/>
    </row>
    <row r="8" spans="2:14" ht="12.75" customHeight="1">
      <c r="B8" s="22"/>
      <c r="C8" s="23"/>
      <c r="D8" s="23"/>
      <c r="E8" s="23"/>
      <c r="F8" s="23"/>
      <c r="G8" s="23"/>
      <c r="H8" s="23"/>
      <c r="I8" s="9"/>
      <c r="J8" s="3">
        <f>+J3*3600/100</f>
        <v>31.638600632772015</v>
      </c>
      <c r="K8" s="15" t="s">
        <v>32</v>
      </c>
      <c r="L8" s="9"/>
      <c r="M8" s="9"/>
      <c r="N8" s="11"/>
    </row>
    <row r="9" spans="2:14" ht="12.75" customHeight="1">
      <c r="B9" s="12"/>
      <c r="C9" s="9"/>
      <c r="E9" s="9"/>
      <c r="F9" s="125" t="s">
        <v>0</v>
      </c>
      <c r="G9" s="9"/>
      <c r="H9" s="126" t="s">
        <v>0</v>
      </c>
      <c r="I9" s="9"/>
      <c r="J9" s="69">
        <f>1000/E5</f>
        <v>3.982477100756671</v>
      </c>
      <c r="K9" s="17" t="s">
        <v>21</v>
      </c>
      <c r="L9" s="9"/>
      <c r="M9" s="9"/>
      <c r="N9" s="87"/>
    </row>
    <row r="10" spans="1:17" s="1" customFormat="1" ht="13.5" thickBot="1">
      <c r="A10" s="34"/>
      <c r="B10" s="19"/>
      <c r="C10" s="20"/>
      <c r="D10" s="20"/>
      <c r="E10" s="20"/>
      <c r="F10" s="20"/>
      <c r="G10" s="20"/>
      <c r="H10" s="91"/>
      <c r="I10" s="13"/>
      <c r="J10" s="90"/>
      <c r="K10" s="13"/>
      <c r="L10" s="13"/>
      <c r="M10" s="90"/>
      <c r="N10" s="87"/>
      <c r="O10" s="34"/>
      <c r="P10" s="34"/>
      <c r="Q10" s="34"/>
    </row>
    <row r="11" spans="2:14" ht="18">
      <c r="B11" s="7" t="s">
        <v>12</v>
      </c>
      <c r="C11" s="9"/>
      <c r="D11" s="9"/>
      <c r="E11" s="9"/>
      <c r="F11" s="9"/>
      <c r="G11" s="74"/>
      <c r="H11" s="101" t="s">
        <v>25</v>
      </c>
      <c r="I11" s="102"/>
      <c r="J11" s="102"/>
      <c r="K11" s="100">
        <f>+J13*((118.32-0.916*C32)/100)*Sheet2!C23</f>
        <v>3632.4125999999997</v>
      </c>
      <c r="L11" s="103">
        <f>+(F20/10)*2000*((118.32-0.916*C32)/100)*Sheet2!C23</f>
        <v>5786.4</v>
      </c>
      <c r="M11" s="104">
        <f>+TRUNC(L11,0)</f>
        <v>5786</v>
      </c>
      <c r="N11" s="105" t="str">
        <f>+"&gt;"&amp;+M11</f>
        <v>&gt;5786</v>
      </c>
    </row>
    <row r="12" spans="2:14" ht="14.25">
      <c r="B12" s="12"/>
      <c r="C12" s="8" t="s">
        <v>22</v>
      </c>
      <c r="E12" s="9"/>
      <c r="F12" s="9"/>
      <c r="G12" s="15"/>
      <c r="H12" s="106">
        <f>IF(N12&lt;2000,2000,19000)</f>
        <v>19000</v>
      </c>
      <c r="I12" s="76"/>
      <c r="J12" s="93"/>
      <c r="K12" s="62" t="s">
        <v>8</v>
      </c>
      <c r="L12" s="94"/>
      <c r="M12" s="95"/>
      <c r="N12" s="107">
        <f>IF(K11&gt;L11,L11,K11)</f>
        <v>3632.4125999999997</v>
      </c>
    </row>
    <row r="13" spans="2:14" ht="12.75">
      <c r="B13" s="12"/>
      <c r="C13" s="31">
        <f>IF(+E14/10&lt;=(4/(J3*60/210)),TRUNC(E14/10,0),TRUNC(4/(J3*60/210),0))</f>
        <v>5</v>
      </c>
      <c r="D13" s="8" t="s">
        <v>1</v>
      </c>
      <c r="E13" s="123">
        <f>IF(+E14/10&lt;=(4/(J3*60/210)),(60-(TRUNC((E14/10),0)+1-E14/10)*60),60-(TRUNC(D15,0)+1-ROUND(D15,1))*60)</f>
        <v>0</v>
      </c>
      <c r="F13" s="122" t="s">
        <v>53</v>
      </c>
      <c r="G13" s="15" t="s">
        <v>0</v>
      </c>
      <c r="H13" s="108">
        <f>+IF(+C20=2,+D15*E5*F20/10,IF(C20=3,+D15*E5*(F20/10)*(210/350),IF(C20=4,+D15*E5*(F20/10)*(210/450),IF(C20=5,+D15*E5*(F20/10)*(210/779),+D15*E5*(F20/10)*(210/1170)))))</f>
        <v>6277.5</v>
      </c>
      <c r="I13" s="53">
        <f>IF(C27=0,H13,IF(C27=4,H13*0.15,IF(C27=8,+H13*0.05,+H13*0.01)))</f>
        <v>6277.5</v>
      </c>
      <c r="J13" s="56">
        <f>IF(F27&lt;=24,I13,IF(F27&lt;=49,I13*0.75,IF(F27&lt;=74,I13*0.58,IF(F27&lt;=99,I13*0.36,I13*0.15))))</f>
        <v>6277.5</v>
      </c>
      <c r="K13" s="96">
        <f>IF(J13&gt;(F20/10)*2000,+"&gt;"&amp;+M11,+K11)</f>
        <v>3632.4125999999997</v>
      </c>
      <c r="L13" s="97" t="s">
        <v>2</v>
      </c>
      <c r="M13" s="13"/>
      <c r="N13" s="109">
        <f>+(F20/10)*2000*((118.32-0.916*C32)/100)</f>
        <v>5786.4</v>
      </c>
    </row>
    <row r="14" spans="2:14" ht="12.75" customHeight="1">
      <c r="B14" s="26"/>
      <c r="C14" s="27"/>
      <c r="D14" s="28"/>
      <c r="E14" s="29">
        <v>50</v>
      </c>
      <c r="F14" s="30"/>
      <c r="G14" s="75"/>
      <c r="H14" s="110">
        <v>2</v>
      </c>
      <c r="I14" s="53"/>
      <c r="J14" s="53"/>
      <c r="K14" s="124">
        <f>+IF(+C20=2,+D15*J6/60,IF(C20=3,+D15*J6*(210/350)/60,IF(C20=4,+D15*J6*(210/450)/60,IF(C20=5,+D15*J6*(210/779)/60,+D15*J6*(210/1170)/60))))</f>
        <v>1.2555000251100004</v>
      </c>
      <c r="L14" s="97" t="s">
        <v>26</v>
      </c>
      <c r="M14" s="13"/>
      <c r="N14" s="111"/>
    </row>
    <row r="15" spans="2:14" ht="12.75" customHeight="1">
      <c r="B15" s="12"/>
      <c r="C15" s="9"/>
      <c r="D15" s="32">
        <f>IF(+E14/10&lt;=(4/(J3*60/210)),E14/10,4/(J3*60/210))</f>
        <v>5</v>
      </c>
      <c r="E15" s="8" t="s">
        <v>1</v>
      </c>
      <c r="F15" s="9"/>
      <c r="G15" s="13"/>
      <c r="H15" s="106">
        <v>3</v>
      </c>
      <c r="I15" s="53"/>
      <c r="J15" s="53"/>
      <c r="K15" s="98">
        <f>+J3*C13*60</f>
        <v>263.65500527310013</v>
      </c>
      <c r="L15" s="97" t="s">
        <v>30</v>
      </c>
      <c r="M15" s="13"/>
      <c r="N15" s="111"/>
    </row>
    <row r="16" spans="2:14" ht="12.75">
      <c r="B16" s="19"/>
      <c r="C16" s="20"/>
      <c r="D16" s="21"/>
      <c r="E16" s="20"/>
      <c r="F16" s="20"/>
      <c r="G16" s="20"/>
      <c r="H16" s="106">
        <v>4</v>
      </c>
      <c r="I16" s="93"/>
      <c r="J16" s="93"/>
      <c r="K16" s="1"/>
      <c r="L16" s="1"/>
      <c r="M16" s="1"/>
      <c r="N16" s="111"/>
    </row>
    <row r="17" spans="2:14" ht="18">
      <c r="B17" s="7" t="s">
        <v>13</v>
      </c>
      <c r="C17" s="9"/>
      <c r="D17" s="38"/>
      <c r="E17" s="7" t="s">
        <v>15</v>
      </c>
      <c r="G17" s="74"/>
      <c r="H17" s="106">
        <v>5</v>
      </c>
      <c r="I17" s="1"/>
      <c r="J17" s="1"/>
      <c r="K17" s="1"/>
      <c r="L17" s="1"/>
      <c r="M17" s="1"/>
      <c r="N17" s="111"/>
    </row>
    <row r="18" spans="2:14" ht="12.75">
      <c r="B18" s="42"/>
      <c r="D18" s="39"/>
      <c r="G18" s="13"/>
      <c r="H18" s="112">
        <v>6</v>
      </c>
      <c r="I18" s="1"/>
      <c r="J18" s="1"/>
      <c r="K18" s="1"/>
      <c r="L18" s="1"/>
      <c r="M18" s="1"/>
      <c r="N18" s="111"/>
    </row>
    <row r="19" spans="2:14" ht="14.25">
      <c r="B19" s="44" t="s">
        <v>28</v>
      </c>
      <c r="C19" s="9"/>
      <c r="D19" s="37"/>
      <c r="E19" s="14" t="s">
        <v>23</v>
      </c>
      <c r="G19" s="13"/>
      <c r="H19" s="112"/>
      <c r="I19" s="13"/>
      <c r="J19" s="13"/>
      <c r="K19" s="13"/>
      <c r="L19" s="13"/>
      <c r="M19" s="13"/>
      <c r="N19" s="111"/>
    </row>
    <row r="20" spans="2:14" ht="12.75">
      <c r="B20" s="12"/>
      <c r="C20" s="36">
        <f>8-D21</f>
        <v>2</v>
      </c>
      <c r="D20" s="5">
        <v>3</v>
      </c>
      <c r="E20" s="18"/>
      <c r="F20" s="36">
        <f>110-F23</f>
        <v>50</v>
      </c>
      <c r="G20" s="13"/>
      <c r="H20" s="113"/>
      <c r="I20" s="13"/>
      <c r="J20" s="13"/>
      <c r="K20" s="13"/>
      <c r="L20" s="13"/>
      <c r="M20" s="13"/>
      <c r="N20" s="111"/>
    </row>
    <row r="21" spans="2:14" ht="12.75">
      <c r="B21" s="12"/>
      <c r="D21" s="46">
        <v>6</v>
      </c>
      <c r="E21" s="47" t="s">
        <v>0</v>
      </c>
      <c r="G21" s="13"/>
      <c r="H21" s="113"/>
      <c r="I21" s="13"/>
      <c r="J21" s="13"/>
      <c r="K21" s="13"/>
      <c r="L21" s="13"/>
      <c r="M21" s="13"/>
      <c r="N21" s="111"/>
    </row>
    <row r="22" spans="2:14" ht="12.75">
      <c r="B22" s="12"/>
      <c r="C22" s="13"/>
      <c r="D22" s="13"/>
      <c r="E22" s="12"/>
      <c r="F22" s="1"/>
      <c r="G22" s="13"/>
      <c r="H22" s="113"/>
      <c r="I22" s="13"/>
      <c r="J22" s="13"/>
      <c r="K22" s="13"/>
      <c r="L22" s="13"/>
      <c r="M22" s="13"/>
      <c r="N22" s="111"/>
    </row>
    <row r="23" spans="2:14" ht="12.75">
      <c r="B23" s="45"/>
      <c r="C23" s="20"/>
      <c r="D23" s="20"/>
      <c r="E23" s="19"/>
      <c r="F23" s="52">
        <v>60</v>
      </c>
      <c r="G23" s="20"/>
      <c r="H23" s="113"/>
      <c r="I23" s="1"/>
      <c r="J23" s="1"/>
      <c r="K23" s="1"/>
      <c r="L23" s="1"/>
      <c r="M23" s="1"/>
      <c r="N23" s="114"/>
    </row>
    <row r="24" spans="2:14" ht="18">
      <c r="B24" s="7" t="s">
        <v>17</v>
      </c>
      <c r="D24" s="48"/>
      <c r="E24" s="7" t="s">
        <v>18</v>
      </c>
      <c r="F24" s="13"/>
      <c r="G24" s="13"/>
      <c r="H24" s="113"/>
      <c r="I24" s="1"/>
      <c r="J24" s="1"/>
      <c r="K24" s="1"/>
      <c r="L24" s="1"/>
      <c r="M24" s="1"/>
      <c r="N24" s="114"/>
    </row>
    <row r="25" spans="2:14" ht="12.75">
      <c r="B25" s="42"/>
      <c r="C25" s="9"/>
      <c r="D25" s="37"/>
      <c r="F25" s="40"/>
      <c r="G25" s="13"/>
      <c r="H25" s="113">
        <f>+IF(C20=2,+C13*J6/60,0)</f>
        <v>1.2555000251100004</v>
      </c>
      <c r="I25" s="59">
        <f>+IF(C20=2,0,C13*J6/60)</f>
        <v>0</v>
      </c>
      <c r="J25" s="1"/>
      <c r="K25" s="1"/>
      <c r="L25" s="1"/>
      <c r="M25" s="1"/>
      <c r="N25" s="114"/>
    </row>
    <row r="26" spans="2:14" ht="14.25">
      <c r="B26" s="44" t="s">
        <v>24</v>
      </c>
      <c r="D26" s="49"/>
      <c r="E26" s="58" t="s">
        <v>29</v>
      </c>
      <c r="F26" s="40"/>
      <c r="G26" s="13"/>
      <c r="H26" s="113">
        <f>+IF(C20=3,+C13*J6*(0.6)/60,0)</f>
        <v>0</v>
      </c>
      <c r="I26" s="59">
        <f>+IF(C20=3,0,+C13*J6*(0.6)/60)</f>
        <v>0.7533000150660002</v>
      </c>
      <c r="J26" s="1"/>
      <c r="K26" s="1"/>
      <c r="L26" s="1"/>
      <c r="M26" s="1"/>
      <c r="N26" s="114"/>
    </row>
    <row r="27" spans="2:14" ht="12.75">
      <c r="B27" s="12"/>
      <c r="C27" s="50">
        <f>IF(C28&gt;0,+IF(C28&lt;=4,8,IF(C28&lt;=8,4,0)),15)</f>
        <v>0</v>
      </c>
      <c r="D27" s="43" t="s">
        <v>0</v>
      </c>
      <c r="E27" s="33" t="s">
        <v>0</v>
      </c>
      <c r="F27" s="51">
        <f>IF(F29&lt;=24,0,IF(F29&lt;=49,25,IF(F29&lt;=74,50,IF(F29&lt;=99,75,100))))</f>
        <v>0</v>
      </c>
      <c r="G27" s="13"/>
      <c r="H27" s="113">
        <f>+IF(C20=4,+C13*J6*(210/450)/60,0)</f>
        <v>0</v>
      </c>
      <c r="I27" s="59">
        <f>+IF(C20=4,0,+C13*J6*(210/450)/60)</f>
        <v>0.5859000117180002</v>
      </c>
      <c r="J27" s="1"/>
      <c r="K27" s="1"/>
      <c r="L27" s="1"/>
      <c r="M27" s="1"/>
      <c r="N27" s="114"/>
    </row>
    <row r="28" spans="2:14" ht="12.75">
      <c r="B28" s="12"/>
      <c r="C28" s="46">
        <v>12</v>
      </c>
      <c r="D28" s="13"/>
      <c r="E28" s="12"/>
      <c r="F28" s="46">
        <v>96</v>
      </c>
      <c r="G28" s="1"/>
      <c r="H28" s="113">
        <f>+IF(C20=5,+C13*J6*(210/779)/60,0)</f>
        <v>0</v>
      </c>
      <c r="I28" s="59">
        <f>+IF(C20=5,0,+C13*J6*(210/779)/60)</f>
        <v>0.3384531518268294</v>
      </c>
      <c r="J28" s="1"/>
      <c r="K28" s="1"/>
      <c r="L28" s="1"/>
      <c r="M28" s="1"/>
      <c r="N28" s="114"/>
    </row>
    <row r="29" spans="2:14" ht="12.75">
      <c r="B29" s="42"/>
      <c r="C29" s="13"/>
      <c r="D29" s="13"/>
      <c r="E29" s="12"/>
      <c r="F29" s="53">
        <f>100-F28</f>
        <v>4</v>
      </c>
      <c r="G29" s="13"/>
      <c r="H29" s="113">
        <f>+IF(C20=6,+C13*J6*(210/1170)/60,0)</f>
        <v>0</v>
      </c>
      <c r="I29" s="59">
        <f>+IF(C20=6,0,+C13*J6*(210/1170)/60)</f>
        <v>0.225346158353077</v>
      </c>
      <c r="J29" s="1"/>
      <c r="K29" s="1"/>
      <c r="L29" s="13"/>
      <c r="M29" s="13"/>
      <c r="N29" s="111"/>
    </row>
    <row r="30" spans="2:14" ht="13.5" thickBot="1">
      <c r="B30" s="45"/>
      <c r="C30" s="20"/>
      <c r="D30" s="20"/>
      <c r="E30" s="19"/>
      <c r="F30" s="20"/>
      <c r="G30" s="20"/>
      <c r="H30" s="115"/>
      <c r="I30" s="116"/>
      <c r="J30" s="116"/>
      <c r="K30" s="116"/>
      <c r="L30" s="116"/>
      <c r="M30" s="117"/>
      <c r="N30" s="118" t="s">
        <v>3</v>
      </c>
    </row>
    <row r="31" spans="2:14" ht="18">
      <c r="B31" s="7" t="s">
        <v>19</v>
      </c>
      <c r="C31" s="8"/>
      <c r="D31" s="9"/>
      <c r="E31" s="41" t="s">
        <v>16</v>
      </c>
      <c r="F31" s="9"/>
      <c r="G31" s="9"/>
      <c r="H31" s="1"/>
      <c r="I31" s="1"/>
      <c r="J31" s="1"/>
      <c r="K31" s="1"/>
      <c r="L31" s="13"/>
      <c r="M31" s="13"/>
      <c r="N31" s="92"/>
    </row>
    <row r="32" spans="2:14" ht="12.75" customHeight="1">
      <c r="B32" s="42"/>
      <c r="C32" s="61">
        <f>90-C35</f>
        <v>66</v>
      </c>
      <c r="D32" s="9"/>
      <c r="E32" s="70" t="s">
        <v>34</v>
      </c>
      <c r="F32" s="9"/>
      <c r="G32" s="9"/>
      <c r="H32" s="9"/>
      <c r="I32" s="9"/>
      <c r="J32" s="9"/>
      <c r="K32" s="9"/>
      <c r="L32" s="9"/>
      <c r="M32" s="9"/>
      <c r="N32" s="37"/>
    </row>
    <row r="33" spans="2:14" ht="12.75">
      <c r="B33" s="42"/>
      <c r="C33" s="54" t="s">
        <v>20</v>
      </c>
      <c r="D33" s="9"/>
      <c r="E33" s="71" t="s">
        <v>35</v>
      </c>
      <c r="F33" s="9"/>
      <c r="G33" s="9"/>
      <c r="H33" s="9"/>
      <c r="I33" s="9"/>
      <c r="J33" s="9"/>
      <c r="K33" s="9"/>
      <c r="L33" s="9"/>
      <c r="M33" s="9"/>
      <c r="N33" s="37"/>
    </row>
    <row r="34" spans="2:14" ht="12.75" customHeight="1">
      <c r="B34" s="42"/>
      <c r="C34" s="60">
        <f>IF(C32&lt;1,"&lt;1",C32)</f>
        <v>66</v>
      </c>
      <c r="D34" s="9"/>
      <c r="E34" s="71" t="s">
        <v>36</v>
      </c>
      <c r="F34" s="9"/>
      <c r="G34" s="9"/>
      <c r="H34" s="9"/>
      <c r="I34" s="9"/>
      <c r="J34" s="9"/>
      <c r="K34" s="9"/>
      <c r="L34" s="9"/>
      <c r="M34" s="9"/>
      <c r="N34" s="37"/>
    </row>
    <row r="35" spans="2:14" ht="12.75">
      <c r="B35" s="42"/>
      <c r="C35" s="29">
        <v>24</v>
      </c>
      <c r="D35" s="9"/>
      <c r="E35" s="71" t="s">
        <v>37</v>
      </c>
      <c r="F35" s="9"/>
      <c r="G35" s="9"/>
      <c r="H35" s="9"/>
      <c r="I35" s="9"/>
      <c r="J35" s="9"/>
      <c r="K35" s="9"/>
      <c r="L35" s="9"/>
      <c r="M35" s="9"/>
      <c r="N35" s="37"/>
    </row>
    <row r="36" spans="2:14" ht="12.75">
      <c r="B36" s="42"/>
      <c r="C36" s="9"/>
      <c r="D36" s="9"/>
      <c r="E36" s="71" t="s">
        <v>38</v>
      </c>
      <c r="F36" s="9"/>
      <c r="G36" s="9"/>
      <c r="H36" s="9"/>
      <c r="I36" s="9"/>
      <c r="J36" s="9"/>
      <c r="K36" s="9"/>
      <c r="L36" s="9"/>
      <c r="M36" s="9"/>
      <c r="N36" s="5" t="s">
        <v>0</v>
      </c>
    </row>
    <row r="37" spans="2:14" ht="12.75">
      <c r="B37" s="45"/>
      <c r="C37" s="20"/>
      <c r="D37" s="20"/>
      <c r="E37" s="72" t="s">
        <v>39</v>
      </c>
      <c r="F37" s="20"/>
      <c r="G37" s="20"/>
      <c r="H37" s="20"/>
      <c r="I37" s="20"/>
      <c r="J37" s="20"/>
      <c r="K37" s="20"/>
      <c r="L37" s="20"/>
      <c r="M37" s="55"/>
      <c r="N37" s="57" t="s">
        <v>14</v>
      </c>
    </row>
    <row r="38" spans="2:14" ht="12.75">
      <c r="B38" s="68"/>
      <c r="C38" s="67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</row>
    <row r="39" spans="2:14" ht="12.75"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</row>
    <row r="40" spans="2:14" ht="12.75"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</row>
    <row r="41" spans="2:14" ht="12.75"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</row>
    <row r="42" spans="2:14" ht="12.75"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</row>
    <row r="43" spans="2:14" ht="12.75"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</row>
    <row r="44" spans="2:14" ht="12.75"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</row>
    <row r="45" spans="2:14" ht="12.75"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</row>
    <row r="46" spans="2:14" ht="12.75"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</row>
    <row r="47" spans="2:14" ht="12.75"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</row>
    <row r="48" spans="2:14" ht="12.75"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</row>
    <row r="49" spans="2:8" ht="12.75">
      <c r="B49" s="77"/>
      <c r="C49" s="77"/>
      <c r="D49" s="77"/>
      <c r="E49" s="77"/>
      <c r="F49" s="77"/>
      <c r="G49" s="77"/>
      <c r="H49" s="77"/>
    </row>
    <row r="50" spans="2:8" ht="12.75">
      <c r="B50" s="77"/>
      <c r="C50" s="77"/>
      <c r="D50" s="77"/>
      <c r="E50" s="77"/>
      <c r="F50" s="78" t="s">
        <v>45</v>
      </c>
      <c r="G50" s="77"/>
      <c r="H50" s="77"/>
    </row>
    <row r="51" spans="2:8" ht="12.75">
      <c r="B51" s="77" t="s">
        <v>11</v>
      </c>
      <c r="C51" s="77" t="s">
        <v>7</v>
      </c>
      <c r="D51" s="77"/>
      <c r="E51" s="85"/>
      <c r="F51" s="84">
        <f>+Sheet1!E5</f>
        <v>251.1</v>
      </c>
      <c r="G51" s="79" t="s">
        <v>48</v>
      </c>
      <c r="H51" s="77"/>
    </row>
    <row r="52" spans="2:8" ht="12.75">
      <c r="B52" s="77" t="s">
        <v>12</v>
      </c>
      <c r="C52" s="77" t="s">
        <v>40</v>
      </c>
      <c r="D52" s="77"/>
      <c r="E52" s="85"/>
      <c r="F52" s="84">
        <f>+Sheet1!C13</f>
        <v>5</v>
      </c>
      <c r="G52" s="79" t="s">
        <v>1</v>
      </c>
      <c r="H52" s="77"/>
    </row>
    <row r="53" spans="2:8" ht="12.75">
      <c r="B53" s="77" t="s">
        <v>13</v>
      </c>
      <c r="C53" s="77" t="s">
        <v>41</v>
      </c>
      <c r="D53" s="77"/>
      <c r="E53" s="85"/>
      <c r="F53" s="84">
        <f>+Sheet1!C20</f>
        <v>2</v>
      </c>
      <c r="G53" s="77"/>
      <c r="H53" s="77"/>
    </row>
    <row r="54" spans="2:8" ht="12.75">
      <c r="B54" s="77" t="s">
        <v>15</v>
      </c>
      <c r="C54" s="77" t="s">
        <v>42</v>
      </c>
      <c r="D54" s="77"/>
      <c r="E54" s="85"/>
      <c r="F54" s="84">
        <f>+Sheet1!F20</f>
        <v>50</v>
      </c>
      <c r="G54" s="80" t="s">
        <v>49</v>
      </c>
      <c r="H54" s="77"/>
    </row>
    <row r="55" spans="2:8" ht="12.75">
      <c r="B55" s="77" t="s">
        <v>17</v>
      </c>
      <c r="C55" s="77" t="s">
        <v>43</v>
      </c>
      <c r="D55" s="77"/>
      <c r="E55" s="85"/>
      <c r="F55" s="84">
        <f>+Sheet1!C27</f>
        <v>0</v>
      </c>
      <c r="G55" s="80" t="s">
        <v>50</v>
      </c>
      <c r="H55" s="77"/>
    </row>
    <row r="56" spans="2:8" ht="12.75">
      <c r="B56" s="77" t="s">
        <v>18</v>
      </c>
      <c r="C56" s="77" t="s">
        <v>44</v>
      </c>
      <c r="D56" s="77"/>
      <c r="E56" s="85"/>
      <c r="F56" s="84">
        <f>+Sheet1!F27</f>
        <v>0</v>
      </c>
      <c r="G56" s="77" t="s">
        <v>49</v>
      </c>
      <c r="H56" s="77"/>
    </row>
    <row r="57" spans="2:8" ht="12.75">
      <c r="B57" s="77" t="s">
        <v>19</v>
      </c>
      <c r="C57" s="77" t="s">
        <v>20</v>
      </c>
      <c r="D57" s="77"/>
      <c r="E57" s="85"/>
      <c r="F57" s="84">
        <f>+Sheet1!C34</f>
        <v>66</v>
      </c>
      <c r="G57" s="79" t="s">
        <v>51</v>
      </c>
      <c r="H57" s="77"/>
    </row>
    <row r="58" spans="2:8" ht="12.75">
      <c r="B58" s="77"/>
      <c r="C58" s="77"/>
      <c r="D58" s="77"/>
      <c r="E58" s="85"/>
      <c r="F58" s="81" t="s">
        <v>46</v>
      </c>
      <c r="G58" s="77"/>
      <c r="H58" s="77"/>
    </row>
    <row r="59" spans="2:8" ht="12.75">
      <c r="B59" s="77"/>
      <c r="C59" s="77"/>
      <c r="D59" s="82" t="s">
        <v>52</v>
      </c>
      <c r="E59" s="77"/>
      <c r="F59" s="83">
        <f>+Sheet1!K13</f>
        <v>3632.4125999999997</v>
      </c>
      <c r="G59" s="82" t="s">
        <v>47</v>
      </c>
      <c r="H59" s="77"/>
    </row>
    <row r="60" spans="2:8" ht="12.75">
      <c r="B60" s="77"/>
      <c r="C60" s="77"/>
      <c r="D60" s="77"/>
      <c r="E60" s="77"/>
      <c r="F60" s="84"/>
      <c r="G60" s="77"/>
      <c r="H60" s="77"/>
    </row>
    <row r="61" spans="2:8" ht="12.75">
      <c r="B61" s="77"/>
      <c r="C61" s="77"/>
      <c r="D61" s="77"/>
      <c r="E61" s="77"/>
      <c r="F61" s="84"/>
      <c r="G61" s="77"/>
      <c r="H61" s="77"/>
    </row>
    <row r="62" spans="2:8" ht="12.75">
      <c r="B62" s="77"/>
      <c r="C62" s="77"/>
      <c r="D62" s="77"/>
      <c r="E62" s="77"/>
      <c r="F62" s="77"/>
      <c r="G62" s="77"/>
      <c r="H62" s="77"/>
    </row>
  </sheetData>
  <sheetProtection password="C6B2" sheet="1" objects="1" scenarios="1" selectLockedCells="1" selectUnlockedCells="1"/>
  <printOptions/>
  <pageMargins left="0.5" right="0.56" top="0.64" bottom="0.5" header="0" footer="0"/>
  <pageSetup orientation="landscape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3"/>
  <sheetViews>
    <sheetView workbookViewId="0" topLeftCell="A1">
      <selection activeCell="A26" sqref="A26"/>
    </sheetView>
  </sheetViews>
  <sheetFormatPr defaultColWidth="9.140625" defaultRowHeight="12.75"/>
  <cols>
    <col min="2" max="3" width="9.140625" style="63" customWidth="1"/>
  </cols>
  <sheetData>
    <row r="1" spans="1:4" ht="12.75">
      <c r="A1" s="64"/>
      <c r="B1" s="65"/>
      <c r="C1" s="65"/>
      <c r="D1" s="66"/>
    </row>
    <row r="2" spans="1:4" ht="12.75">
      <c r="A2" s="64">
        <v>0</v>
      </c>
      <c r="B2" s="65">
        <v>0.1336453062718378</v>
      </c>
      <c r="C2" s="65">
        <f>IF(Sheet1!C32=A2,B2,0)</f>
        <v>0</v>
      </c>
      <c r="D2" s="66"/>
    </row>
    <row r="3" spans="1:4" ht="12.75">
      <c r="A3" s="64">
        <v>1</v>
      </c>
      <c r="B3" s="65">
        <v>0.27859771175465836</v>
      </c>
      <c r="C3" s="65">
        <f>IF(Sheet1!C32=A3,B3,0)</f>
        <v>0</v>
      </c>
      <c r="D3" s="66"/>
    </row>
    <row r="4" spans="1:4" ht="12.75">
      <c r="A4" s="64">
        <v>2</v>
      </c>
      <c r="B4" s="65">
        <v>0.3230057230078057</v>
      </c>
      <c r="C4" s="65">
        <f>IF(Sheet1!C32=A4,B4,0)</f>
        <v>0</v>
      </c>
      <c r="D4" s="66"/>
    </row>
    <row r="5" spans="1:4" ht="12.75">
      <c r="A5" s="64">
        <v>3</v>
      </c>
      <c r="B5" s="65">
        <v>0.3569153738674312</v>
      </c>
      <c r="C5" s="65">
        <f>IF(Sheet1!C32=A5,B5,0)</f>
        <v>0</v>
      </c>
      <c r="D5" s="66"/>
    </row>
    <row r="6" spans="1:4" ht="12.75">
      <c r="A6" s="64">
        <v>4</v>
      </c>
      <c r="B6" s="65">
        <v>0.39402254094575995</v>
      </c>
      <c r="C6" s="65">
        <f>IF(Sheet1!C32=A6,B6,0)</f>
        <v>0</v>
      </c>
      <c r="D6" s="66"/>
    </row>
    <row r="7" spans="1:4" ht="12.75">
      <c r="A7" s="64">
        <v>5</v>
      </c>
      <c r="B7" s="65">
        <v>0.4297078647634508</v>
      </c>
      <c r="C7" s="65">
        <f>IF(Sheet1!C32=A7,B7,0)</f>
        <v>0</v>
      </c>
      <c r="D7" s="66"/>
    </row>
    <row r="8" spans="1:4" ht="12.75">
      <c r="A8" s="64">
        <v>6</v>
      </c>
      <c r="B8" s="65">
        <v>0.47149313070295773</v>
      </c>
      <c r="C8" s="65">
        <f>IF(Sheet1!C32=A8,B8,0)</f>
        <v>0</v>
      </c>
      <c r="D8" s="66"/>
    </row>
    <row r="9" spans="1:4" ht="12.75">
      <c r="A9" s="64">
        <v>7</v>
      </c>
      <c r="B9" s="65">
        <v>0.5133747200201606</v>
      </c>
      <c r="C9" s="65">
        <f>IF(Sheet1!C32=A9,B9,0)</f>
        <v>0</v>
      </c>
      <c r="D9" s="66"/>
    </row>
    <row r="10" spans="1:4" ht="12.75">
      <c r="A10" s="64">
        <v>8</v>
      </c>
      <c r="B10" s="65">
        <v>0.5458939750422664</v>
      </c>
      <c r="C10" s="65">
        <f>IF(Sheet1!C32=A10,B10,0)</f>
        <v>0</v>
      </c>
      <c r="D10" s="66"/>
    </row>
    <row r="11" spans="1:4" ht="12.75">
      <c r="A11" s="64">
        <v>9</v>
      </c>
      <c r="B11" s="65">
        <v>0.5948912186599071</v>
      </c>
      <c r="C11" s="65">
        <f>IF(Sheet1!C32=A11,B11,0)</f>
        <v>0</v>
      </c>
      <c r="D11" s="66"/>
    </row>
    <row r="12" spans="1:4" ht="12.75">
      <c r="A12" s="64">
        <v>10</v>
      </c>
      <c r="B12" s="65">
        <v>0.6464415793556086</v>
      </c>
      <c r="C12" s="65">
        <f>IF(Sheet1!C32=A12,B12,0)</f>
        <v>0</v>
      </c>
      <c r="D12" s="66"/>
    </row>
    <row r="13" spans="1:4" ht="12.75">
      <c r="A13" s="64">
        <v>11</v>
      </c>
      <c r="B13" s="65">
        <v>0.697690323450471</v>
      </c>
      <c r="C13" s="65">
        <f>IF(Sheet1!C32=A13,B13,0)</f>
        <v>0</v>
      </c>
      <c r="D13" s="66"/>
    </row>
    <row r="14" spans="1:4" ht="12.75">
      <c r="A14" s="64">
        <v>12</v>
      </c>
      <c r="B14" s="65">
        <v>0.7594483806450654</v>
      </c>
      <c r="C14" s="65">
        <f>IF(Sheet1!C32=A14,B14,0)</f>
        <v>0</v>
      </c>
      <c r="D14" s="66"/>
    </row>
    <row r="15" spans="1:4" ht="12.75">
      <c r="A15" s="64">
        <v>13</v>
      </c>
      <c r="B15" s="65">
        <v>0.8148220421195329</v>
      </c>
      <c r="C15" s="65">
        <f>IF(Sheet1!C32=A15,B15,0)</f>
        <v>0</v>
      </c>
      <c r="D15" s="66"/>
    </row>
    <row r="16" spans="1:4" ht="12.75">
      <c r="A16" s="64">
        <v>14</v>
      </c>
      <c r="B16" s="65">
        <v>0.8620431800054378</v>
      </c>
      <c r="C16" s="65">
        <f>IF(Sheet1!C32=A16,B16,0)</f>
        <v>0</v>
      </c>
      <c r="D16" s="66"/>
    </row>
    <row r="17" spans="1:4" ht="12.75">
      <c r="A17" s="64">
        <v>15</v>
      </c>
      <c r="B17" s="65">
        <v>0.9052777072034999</v>
      </c>
      <c r="C17" s="65">
        <f>IF(Sheet1!C32=A17,B17,0)</f>
        <v>0</v>
      </c>
      <c r="D17" s="66"/>
    </row>
    <row r="18" spans="1:4" ht="12.75">
      <c r="A18" s="64">
        <v>16</v>
      </c>
      <c r="B18" s="65">
        <v>0.9380675496024999</v>
      </c>
      <c r="C18" s="65">
        <f>IF(Sheet1!C32=A18,B18,0)</f>
        <v>0</v>
      </c>
      <c r="D18" s="66"/>
    </row>
    <row r="19" spans="1:4" ht="12.75">
      <c r="A19" s="64">
        <v>17</v>
      </c>
      <c r="B19" s="65">
        <v>0.9569911492450238</v>
      </c>
      <c r="C19" s="65">
        <f>IF(Sheet1!C32=A19,B19,0)</f>
        <v>0</v>
      </c>
      <c r="D19" s="66"/>
    </row>
    <row r="20" spans="1:4" ht="12.75">
      <c r="A20" s="64">
        <v>18</v>
      </c>
      <c r="B20" s="65">
        <v>0.9739267661658483</v>
      </c>
      <c r="C20" s="65">
        <f>IF(Sheet1!C32=A20,B20,0)</f>
        <v>0</v>
      </c>
      <c r="D20" s="66"/>
    </row>
    <row r="21" spans="1:4" ht="12.75">
      <c r="A21" s="64">
        <v>19</v>
      </c>
      <c r="B21" s="65">
        <v>0.9876090164525149</v>
      </c>
      <c r="C21" s="65">
        <f>IF(Sheet1!C32=A21,B21,0)</f>
        <v>0</v>
      </c>
      <c r="D21" s="66"/>
    </row>
    <row r="22" spans="1:4" ht="12.75">
      <c r="A22" s="64">
        <v>20</v>
      </c>
      <c r="B22" s="65">
        <v>1</v>
      </c>
      <c r="C22" s="65">
        <f>IF(Sheet1!C32=A22,B22,0)</f>
        <v>0</v>
      </c>
      <c r="D22" s="66"/>
    </row>
    <row r="23" spans="1:4" ht="12.75">
      <c r="A23" s="64"/>
      <c r="B23" s="65"/>
      <c r="C23" s="65">
        <f>IF(Sheet1!C32&lt;21,SUM(C2:C22),1)</f>
        <v>1</v>
      </c>
      <c r="D23" s="66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:G14"/>
    </sheetView>
  </sheetViews>
  <sheetFormatPr defaultColWidth="9.140625" defaultRowHeight="12.75"/>
  <cols>
    <col min="1" max="1" width="11.7109375" style="0" customWidth="1"/>
  </cols>
  <sheetData/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 Pope</dc:creator>
  <cp:keywords/>
  <dc:description/>
  <cp:lastModifiedBy>Henry</cp:lastModifiedBy>
  <cp:lastPrinted>2005-03-02T03:55:24Z</cp:lastPrinted>
  <dcterms:created xsi:type="dcterms:W3CDTF">2004-12-25T03:53:51Z</dcterms:created>
  <dcterms:modified xsi:type="dcterms:W3CDTF">2012-11-19T16:28:18Z</dcterms:modified>
  <cp:category/>
  <cp:version/>
  <cp:contentType/>
  <cp:contentStatus/>
</cp:coreProperties>
</file>